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<sst xmlns="http://schemas.openxmlformats.org/spreadsheetml/2006/main" count="163" uniqueCount="112">
  <si>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</si>
  <si>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</si>
  <si>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</si>
  <si>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</si>
  <si>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</si>
  <si>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</si>
  <si>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</si>
  <si>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</si>
  <si>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</si>
  <si>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</si>
  <si>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</si>
  <si>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</si>
  <si>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</si>
  <si>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</si>
  <si>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</si>
  <si>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</si>
  <si>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</si>
  <si>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</si>
  <si>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</si>
  <si>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</si>
  <si>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</si>
  <si>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</si>
  <si>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</si>
  <si>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</si>
  <si>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</si>
  <si>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</si>
  <si>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</si>
  <si>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</si>
  <si>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</si>
  <si>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</si>
  <si>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</si>
  <si>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</si>
  <si>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</si>
  <si>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</si>
  <si>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</si>
  <si>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</si>
  <si>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</si>
  <si>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</si>
  <si>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</si>
  <si>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</si>
  <si>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</si>
  <si>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</si>
  <si>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</si>
  <si>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</si>
  <si>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</si>
  <si>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</si>
  <si>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</si>
  <si>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</si>
  <si>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</si>
  <si>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</si>
  <si>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</si>
  <si>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</si>
  <si>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</si>
  <si>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</si>
  <si>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</si>
  <si>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</si>
  <si>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</si>
  <si>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</si>
  <si>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</si>
  <si>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</si>
  <si>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</si>
  <si>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</si>
  <si>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</si>
  <si>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</si>
  <si>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</si>
  <si>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</si>
  <si>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</si>
  <si>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</si>
  <si>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</si>
  <si>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</si>
  <si>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</si>
  <si>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</si>
  <si>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</si>
  <si>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</si>
  <si>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</si>
  <si>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</si>
  <si>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</si>
  <si>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</si>
  <si>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</si>
  <si>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</si>
  <si>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</si>
  <si>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</si>
  <si>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</si>
  <si>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</si>
  <si>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</si>
  <si>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</si>
  <si>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</si>
  <si>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</si>
  <si>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</si>
  <si>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</si>
  <si>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</si>
  <si>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</si>
  <si>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</si>
  <si>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</si>
  <si>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</si>
  <si>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</si>
  <si>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</si>
  <si>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</si>
  <si>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</si>
  <si>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</si>
  <si>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</si>
  <si>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</si>
  <si>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</si>
  <si>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</si>
  <si>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</si>
  <si>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</si>
  <si>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</si>
  <si>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</si>
  <si>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</si>
  <si>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</si>
  <si>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</si>
  <si>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загального фонду міського бюджету станом на 26.04.2017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</si>
</sst>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52951643"/>
        <c:axId val="6802740"/>
      </c:bar3DChart>
      <c:catAx>
        <c:axId val="5295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02740"/>
        <c:crosses val="autoZero"/>
        <c:auto val="1"/>
        <c:lblOffset val="100"/>
        <c:tickLblSkip val="1"/>
        <c:noMultiLvlLbl val="0"/>
      </c:catAx>
      <c:valAx>
        <c:axId val="6802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51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61224661"/>
        <c:axId val="14151038"/>
      </c:bar3DChart>
      <c:catAx>
        <c:axId val="6122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51038"/>
        <c:crosses val="autoZero"/>
        <c:auto val="1"/>
        <c:lblOffset val="100"/>
        <c:tickLblSkip val="1"/>
        <c:noMultiLvlLbl val="0"/>
      </c:catAx>
      <c:valAx>
        <c:axId val="14151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24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60250479"/>
        <c:axId val="5383400"/>
      </c:bar3DChart>
      <c:catAx>
        <c:axId val="60250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3400"/>
        <c:crosses val="autoZero"/>
        <c:auto val="1"/>
        <c:lblOffset val="100"/>
        <c:tickLblSkip val="1"/>
        <c:noMultiLvlLbl val="0"/>
      </c:catAx>
      <c:valAx>
        <c:axId val="5383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0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48450601"/>
        <c:axId val="33402226"/>
      </c:bar3DChart>
      <c:catAx>
        <c:axId val="48450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402226"/>
        <c:crosses val="autoZero"/>
        <c:auto val="1"/>
        <c:lblOffset val="100"/>
        <c:tickLblSkip val="1"/>
        <c:noMultiLvlLbl val="0"/>
      </c:catAx>
      <c:valAx>
        <c:axId val="33402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50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32184579"/>
        <c:axId val="21225756"/>
      </c:bar3DChart>
      <c:catAx>
        <c:axId val="3218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225756"/>
        <c:crosses val="autoZero"/>
        <c:auto val="1"/>
        <c:lblOffset val="100"/>
        <c:tickLblSkip val="2"/>
        <c:noMultiLvlLbl val="0"/>
      </c:catAx>
      <c:valAx>
        <c:axId val="21225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84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56814077"/>
        <c:axId val="41564646"/>
      </c:bar3DChart>
      <c:catAx>
        <c:axId val="5681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64646"/>
        <c:crosses val="autoZero"/>
        <c:auto val="1"/>
        <c:lblOffset val="100"/>
        <c:tickLblSkip val="1"/>
        <c:noMultiLvlLbl val="0"/>
      </c:catAx>
      <c:valAx>
        <c:axId val="41564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14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38537495"/>
        <c:axId val="11293136"/>
      </c:bar3DChart>
      <c:catAx>
        <c:axId val="3853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293136"/>
        <c:crosses val="autoZero"/>
        <c:auto val="1"/>
        <c:lblOffset val="100"/>
        <c:tickLblSkip val="1"/>
        <c:noMultiLvlLbl val="0"/>
      </c:catAx>
      <c:valAx>
        <c:axId val="11293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37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34529361"/>
        <c:axId val="42328794"/>
      </c:bar3DChart>
      <c:catAx>
        <c:axId val="34529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28794"/>
        <c:crosses val="autoZero"/>
        <c:auto val="1"/>
        <c:lblOffset val="100"/>
        <c:tickLblSkip val="1"/>
        <c:noMultiLvlLbl val="0"/>
      </c:catAx>
      <c:valAx>
        <c:axId val="42328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29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45414827"/>
        <c:axId val="6080260"/>
      </c:bar3DChart>
      <c:catAx>
        <c:axId val="4541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0260"/>
        <c:crosses val="autoZero"/>
        <c:auto val="1"/>
        <c:lblOffset val="100"/>
        <c:tickLblSkip val="1"/>
        <c:noMultiLvlLbl val="0"/>
      </c:catAx>
      <c:valAx>
        <c:axId val="60802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148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220467.5</v>
      </c>
      <c r="C6" s="46">
        <f>625865.1-190.4-316.9+47.1+50+198</f>
        <v>625652.8999999999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</f>
        <v>193446.80000000005</v>
      </c>
      <c r="E6" s="3">
        <f>D6/D151*100</f>
        <v>38.578154611516844</v>
      </c>
      <c r="F6" s="3">
        <f>D6/B6*100</f>
        <v>87.74390783222019</v>
      </c>
      <c r="G6" s="3">
        <f aca="true" t="shared" si="0" ref="G6:G43">D6/C6*100</f>
        <v>30.91918857884301</v>
      </c>
      <c r="H6" s="47">
        <f>B6-D6</f>
        <v>27020.699999999953</v>
      </c>
      <c r="I6" s="47">
        <f aca="true" t="shared" si="1" ref="I6:I43">C6-D6</f>
        <v>432206.09999999986</v>
      </c>
    </row>
    <row r="7" spans="1:9" s="37" customFormat="1" ht="18.75">
      <c r="A7" s="104" t="s">
        <v>83</v>
      </c>
      <c r="B7" s="97">
        <v>74928.4</v>
      </c>
      <c r="C7" s="94">
        <f>243287.4+47.1</f>
        <v>243334.5</v>
      </c>
      <c r="D7" s="105">
        <f>6699.4+11261.7+10.2+8073.8+9792.3+0.1+0.8+7352+6.6+10108.4-0.1+7942.1+9848.6</f>
        <v>71095.9</v>
      </c>
      <c r="E7" s="95">
        <f>D7/D6*100</f>
        <v>36.75217165649676</v>
      </c>
      <c r="F7" s="95">
        <f>D7/B7*100</f>
        <v>94.88511699168807</v>
      </c>
      <c r="G7" s="95">
        <f>D7/C7*100</f>
        <v>29.21735306748529</v>
      </c>
      <c r="H7" s="105">
        <f>B7-D7</f>
        <v>3832.5</v>
      </c>
      <c r="I7" s="105">
        <f t="shared" si="1"/>
        <v>172238.6</v>
      </c>
    </row>
    <row r="8" spans="1:9" ht="18">
      <c r="A8" s="23" t="s">
        <v>3</v>
      </c>
      <c r="B8" s="42">
        <f>151038.5+2656.2+700</f>
        <v>154394.7</v>
      </c>
      <c r="C8" s="43">
        <f>487771.7+47.1</f>
        <v>487818.8</v>
      </c>
      <c r="D8" s="44">
        <f>12945+14658+9353.4+10.2+0.1+7+16015+13071.9+6973.3+1906+3.4+7.6+13882.5+6.6+747.5+21101.8+2656.1+15.6+10047+6403+9848.6</f>
        <v>139659.6</v>
      </c>
      <c r="E8" s="1">
        <f>D8/D6*100</f>
        <v>72.1953529342434</v>
      </c>
      <c r="F8" s="1">
        <f>D8/B8*100</f>
        <v>90.45621384671882</v>
      </c>
      <c r="G8" s="1">
        <f t="shared" si="0"/>
        <v>28.629400916897836</v>
      </c>
      <c r="H8" s="44">
        <f>B8-D8</f>
        <v>14735.100000000006</v>
      </c>
      <c r="I8" s="44">
        <f t="shared" si="1"/>
        <v>348159.19999999995</v>
      </c>
    </row>
    <row r="9" spans="1:9" ht="18">
      <c r="A9" s="23" t="s">
        <v>2</v>
      </c>
      <c r="B9" s="42">
        <v>37.9</v>
      </c>
      <c r="C9" s="43">
        <v>92.5</v>
      </c>
      <c r="D9" s="44">
        <f>2.5+4.3+3.3+7+0.4+1.3+1.6</f>
        <v>20.400000000000002</v>
      </c>
      <c r="E9" s="12">
        <f>D9/D6*100</f>
        <v>0.010545534999803563</v>
      </c>
      <c r="F9" s="120">
        <f>D9/B9*100</f>
        <v>53.825857519788926</v>
      </c>
      <c r="G9" s="1">
        <f t="shared" si="0"/>
        <v>22.054054054054056</v>
      </c>
      <c r="H9" s="44">
        <f aca="true" t="shared" si="2" ref="H9:H43">B9-D9</f>
        <v>17.499999999999996</v>
      </c>
      <c r="I9" s="44">
        <f t="shared" si="1"/>
        <v>72.1</v>
      </c>
    </row>
    <row r="10" spans="1:9" ht="18">
      <c r="A10" s="23" t="s">
        <v>1</v>
      </c>
      <c r="B10" s="42">
        <v>11420.6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</f>
        <v>9853.2</v>
      </c>
      <c r="E10" s="1">
        <f>D10/D6*100</f>
        <v>5.093493404905121</v>
      </c>
      <c r="F10" s="1">
        <f aca="true" t="shared" si="3" ref="F10:F41">D10/B10*100</f>
        <v>86.27567728490622</v>
      </c>
      <c r="G10" s="1">
        <f t="shared" si="0"/>
        <v>35.88005025217122</v>
      </c>
      <c r="H10" s="44">
        <f t="shared" si="2"/>
        <v>1567.3999999999996</v>
      </c>
      <c r="I10" s="44">
        <f t="shared" si="1"/>
        <v>17608.3</v>
      </c>
    </row>
    <row r="11" spans="1:9" ht="18">
      <c r="A11" s="23" t="s">
        <v>0</v>
      </c>
      <c r="B11" s="42">
        <f>47704.8-2656.2-700</f>
        <v>44348.600000000006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</f>
        <v>37516.00000000001</v>
      </c>
      <c r="E11" s="1">
        <f>D11/D6*100</f>
        <v>19.393445639834827</v>
      </c>
      <c r="F11" s="1">
        <f t="shared" si="3"/>
        <v>84.59342572257073</v>
      </c>
      <c r="G11" s="1">
        <f t="shared" si="0"/>
        <v>46.373013763821</v>
      </c>
      <c r="H11" s="44">
        <f t="shared" si="2"/>
        <v>6832.5999999999985</v>
      </c>
      <c r="I11" s="44">
        <f t="shared" si="1"/>
        <v>43384.49999999999</v>
      </c>
    </row>
    <row r="12" spans="1:9" ht="18">
      <c r="A12" s="23" t="s">
        <v>14</v>
      </c>
      <c r="B12" s="42">
        <v>4755</v>
      </c>
      <c r="C12" s="43">
        <v>14045.4</v>
      </c>
      <c r="D12" s="44">
        <f>276.3+3.4+1.2+766.5+1.2+207.2+488.1+284.1+207.8+0.1+1.2+2.8+9+434.7+164.8+490.2+0.8+3.6+1.2+150.2+3.6+534.8+237.6</f>
        <v>4270.4</v>
      </c>
      <c r="E12" s="1">
        <f>D12/D6*100</f>
        <v>2.207531993292212</v>
      </c>
      <c r="F12" s="1">
        <f t="shared" si="3"/>
        <v>89.8086225026288</v>
      </c>
      <c r="G12" s="1">
        <f t="shared" si="0"/>
        <v>30.404260469619942</v>
      </c>
      <c r="H12" s="44">
        <f t="shared" si="2"/>
        <v>484.60000000000036</v>
      </c>
      <c r="I12" s="44">
        <f t="shared" si="1"/>
        <v>9775</v>
      </c>
    </row>
    <row r="13" spans="1:9" ht="18.75" thickBot="1">
      <c r="A13" s="23" t="s">
        <v>28</v>
      </c>
      <c r="B13" s="43">
        <f>B6-B8-B9-B10-B11-B12</f>
        <v>5510.69999999999</v>
      </c>
      <c r="C13" s="43">
        <f>C6-C8-C9-C10-C11-C12</f>
        <v>15334.199999999919</v>
      </c>
      <c r="D13" s="43">
        <f>D6-D8-D9-D10-D11-D12</f>
        <v>2127.200000000028</v>
      </c>
      <c r="E13" s="1">
        <f>D13/D6*100</f>
        <v>1.0996304927246288</v>
      </c>
      <c r="F13" s="1">
        <f t="shared" si="3"/>
        <v>38.60126662674491</v>
      </c>
      <c r="G13" s="1">
        <f t="shared" si="0"/>
        <v>13.872259394034506</v>
      </c>
      <c r="H13" s="44">
        <f t="shared" si="2"/>
        <v>3383.499999999962</v>
      </c>
      <c r="I13" s="44">
        <f t="shared" si="1"/>
        <v>13206.99999999989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140167.4</v>
      </c>
      <c r="C18" s="46">
        <f>329127.1+600+14307.6+200+1333.8</f>
        <v>345568.49999999994</v>
      </c>
      <c r="D18" s="47">
        <f>7750.2+16091.8+509.8+21.4+337.2+206.3+9326.4+708.9+873+242.1+3327.1+2.3+17653.4+33.8-2.1+533.8+30.7+490.1+11915.5+3423.1+24.3+167.7+3429.8+14147.8+57.6+1.8+36.5+3469.9+24.5+9514.8+2039.4+634+1548+13955</f>
        <v>122525.90000000002</v>
      </c>
      <c r="E18" s="3">
        <f>D18/D151*100</f>
        <v>24.434744405775906</v>
      </c>
      <c r="F18" s="3">
        <f>D18/B18*100</f>
        <v>87.41397785790421</v>
      </c>
      <c r="G18" s="3">
        <f t="shared" si="0"/>
        <v>35.456327761355574</v>
      </c>
      <c r="H18" s="47">
        <f>B18-D18</f>
        <v>17641.49999999997</v>
      </c>
      <c r="I18" s="47">
        <f t="shared" si="1"/>
        <v>223042.59999999992</v>
      </c>
    </row>
    <row r="19" spans="1:13" s="37" customFormat="1" ht="18.75">
      <c r="A19" s="104" t="s">
        <v>84</v>
      </c>
      <c r="B19" s="97">
        <v>80654.3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</f>
        <v>74077.90000000001</v>
      </c>
      <c r="E19" s="95">
        <f>D19/D18*100</f>
        <v>60.45897234788726</v>
      </c>
      <c r="F19" s="95">
        <f t="shared" si="3"/>
        <v>91.84618798997698</v>
      </c>
      <c r="G19" s="95">
        <f t="shared" si="0"/>
        <v>30.929519363855952</v>
      </c>
      <c r="H19" s="105">
        <f t="shared" si="2"/>
        <v>6576.399999999994</v>
      </c>
      <c r="I19" s="105">
        <f t="shared" si="1"/>
        <v>165427.59999999998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140167.4</v>
      </c>
      <c r="C25" s="43">
        <f>C18</f>
        <v>345568.49999999994</v>
      </c>
      <c r="D25" s="43">
        <f>D18</f>
        <v>122525.90000000002</v>
      </c>
      <c r="E25" s="1">
        <f>D25/D18*100</f>
        <v>100</v>
      </c>
      <c r="F25" s="1">
        <f t="shared" si="3"/>
        <v>87.41397785790421</v>
      </c>
      <c r="G25" s="1">
        <f t="shared" si="0"/>
        <v>35.456327761355574</v>
      </c>
      <c r="H25" s="44">
        <f t="shared" si="2"/>
        <v>17641.49999999997</v>
      </c>
      <c r="I25" s="44">
        <f t="shared" si="1"/>
        <v>223042.59999999992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19843.9</v>
      </c>
      <c r="C33" s="46">
        <v>67303.3</v>
      </c>
      <c r="D33" s="50">
        <f>1839.2+34.8+165.7+1873.2+1.3+5.1+223.7+77.9+1834.7+29.7+171.2+8.4+128.8+239.3+79.6+50.8+1967+148.5+65.1+168.2+2+195+1854.2+111.8+11.9+51+73.3+98+192+131.2+1842+37.2+0.2+0.1+1.5+37.1+157.3+17.7+6.8+2135.6+67.4+59.6+135+57.6+27.2</f>
        <v>16414.9</v>
      </c>
      <c r="E33" s="3">
        <f>D33/D151*100</f>
        <v>3.273543682979443</v>
      </c>
      <c r="F33" s="3">
        <f>D33/B33*100</f>
        <v>82.72013061948508</v>
      </c>
      <c r="G33" s="3">
        <f t="shared" si="0"/>
        <v>24.389443013938397</v>
      </c>
      <c r="H33" s="47">
        <f t="shared" si="2"/>
        <v>3429</v>
      </c>
      <c r="I33" s="47">
        <f t="shared" si="1"/>
        <v>50888.4</v>
      </c>
    </row>
    <row r="34" spans="1:9" ht="18">
      <c r="A34" s="23" t="s">
        <v>3</v>
      </c>
      <c r="B34" s="42">
        <v>15131.4</v>
      </c>
      <c r="C34" s="43">
        <v>55535.9</v>
      </c>
      <c r="D34" s="44">
        <f>1743.2+1833.7+1830.2+1935.3+81+1854.2+129.9+1804.7+34.4+1.5+1881.6</f>
        <v>13129.7</v>
      </c>
      <c r="E34" s="1">
        <f>D34/D33*100</f>
        <v>79.98647570195371</v>
      </c>
      <c r="F34" s="1">
        <f t="shared" si="3"/>
        <v>86.77121746831094</v>
      </c>
      <c r="G34" s="1">
        <f t="shared" si="0"/>
        <v>23.64182447750014</v>
      </c>
      <c r="H34" s="44">
        <f t="shared" si="2"/>
        <v>2001.699999999999</v>
      </c>
      <c r="I34" s="44">
        <f t="shared" si="1"/>
        <v>42406.2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1590.4</v>
      </c>
      <c r="C36" s="43">
        <v>2945.3</v>
      </c>
      <c r="D36" s="44">
        <f>5.4+1.2+41.8+16.1+2.9+29.7+160.9+0.8+93.4+46.9+11.2+0.1+15.2+184.7+9.2+183.2+0.9+11.9+0.1+174+0.1+59.2+12.8+2+8.2</f>
        <v>1071.9</v>
      </c>
      <c r="E36" s="1">
        <f>D36/D33*100</f>
        <v>6.530042826943813</v>
      </c>
      <c r="F36" s="1">
        <f t="shared" si="3"/>
        <v>67.39813883299799</v>
      </c>
      <c r="G36" s="1">
        <f t="shared" si="0"/>
        <v>36.39357620615897</v>
      </c>
      <c r="H36" s="44">
        <f t="shared" si="2"/>
        <v>518.5</v>
      </c>
      <c r="I36" s="44">
        <f t="shared" si="1"/>
        <v>1873.4</v>
      </c>
    </row>
    <row r="37" spans="1:9" s="37" customFormat="1" ht="18.75">
      <c r="A37" s="18" t="s">
        <v>7</v>
      </c>
      <c r="B37" s="51">
        <v>139</v>
      </c>
      <c r="C37" s="52">
        <v>856.1</v>
      </c>
      <c r="D37" s="53">
        <f>7.4+12.3+6.1+3.3+9.3</f>
        <v>38.400000000000006</v>
      </c>
      <c r="E37" s="17">
        <f>D37/D33*100</f>
        <v>0.23393380404388694</v>
      </c>
      <c r="F37" s="17">
        <f t="shared" si="3"/>
        <v>27.625899280575545</v>
      </c>
      <c r="G37" s="17">
        <f t="shared" si="0"/>
        <v>4.485457306389441</v>
      </c>
      <c r="H37" s="53">
        <f t="shared" si="2"/>
        <v>100.6</v>
      </c>
      <c r="I37" s="53">
        <f t="shared" si="1"/>
        <v>817.7</v>
      </c>
    </row>
    <row r="38" spans="1:9" ht="18">
      <c r="A38" s="23" t="s">
        <v>14</v>
      </c>
      <c r="B38" s="42">
        <v>20.4</v>
      </c>
      <c r="C38" s="43">
        <v>80.8</v>
      </c>
      <c r="D38" s="43">
        <f>5.1+5.1+5.1+5.1</f>
        <v>20.4</v>
      </c>
      <c r="E38" s="1">
        <f>D38/D33*100</f>
        <v>0.12427733339831493</v>
      </c>
      <c r="F38" s="1">
        <f t="shared" si="3"/>
        <v>100</v>
      </c>
      <c r="G38" s="1">
        <f t="shared" si="0"/>
        <v>25.247524752475247</v>
      </c>
      <c r="H38" s="44">
        <f t="shared" si="2"/>
        <v>0</v>
      </c>
      <c r="I38" s="44">
        <f t="shared" si="1"/>
        <v>60.4</v>
      </c>
    </row>
    <row r="39" spans="1:9" ht="18.75" thickBot="1">
      <c r="A39" s="23" t="s">
        <v>28</v>
      </c>
      <c r="B39" s="42">
        <f>B33-B34-B36-B37-B35-B38</f>
        <v>2962.7000000000016</v>
      </c>
      <c r="C39" s="42">
        <f>C33-C34-C36-C37-C35-C38</f>
        <v>7885.200000000002</v>
      </c>
      <c r="D39" s="42">
        <f>D33-D34-D36-D37-D35-D38</f>
        <v>2154.5000000000005</v>
      </c>
      <c r="E39" s="1">
        <f>D39/D33*100</f>
        <v>13.125270333660275</v>
      </c>
      <c r="F39" s="1">
        <f t="shared" si="3"/>
        <v>72.72082897357139</v>
      </c>
      <c r="G39" s="1">
        <f t="shared" si="0"/>
        <v>27.323339927966316</v>
      </c>
      <c r="H39" s="44">
        <f>B39-D39</f>
        <v>808.2000000000012</v>
      </c>
      <c r="I39" s="44">
        <f t="shared" si="1"/>
        <v>5730.700000000001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721.4</v>
      </c>
      <c r="C43" s="46">
        <f>1548.6+6.6+21.9</f>
        <v>1577.1</v>
      </c>
      <c r="D43" s="47">
        <f>29.1+22+50.2+8.1+0.6+111.5+89.2+3+14.7+7.1+8.4+11.5+17.6+100.3+27.2+6.2-0.1+30.1+12.7+5+6.1+5+7.2+55.8</f>
        <v>628.5</v>
      </c>
      <c r="E43" s="3">
        <f>D43/D151*100</f>
        <v>0.12533869866722183</v>
      </c>
      <c r="F43" s="3">
        <f>D43/B43*100</f>
        <v>87.12226226781259</v>
      </c>
      <c r="G43" s="3">
        <f t="shared" si="0"/>
        <v>39.851626402891384</v>
      </c>
      <c r="H43" s="47">
        <f t="shared" si="2"/>
        <v>92.89999999999998</v>
      </c>
      <c r="I43" s="47">
        <f t="shared" si="1"/>
        <v>948.5999999999999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4030.9</v>
      </c>
      <c r="C45" s="46">
        <v>11788</v>
      </c>
      <c r="D45" s="47">
        <f>102.9+155.5+3.1+3.7+452.3+6+17.2+314.1+59.3+95.2+2.2+579+1.9+71.6+375.2+7+7.3+568.3+0.1+96.1+326.4+4.1</f>
        <v>3248.5</v>
      </c>
      <c r="E45" s="3">
        <f>D45/D151*100</f>
        <v>0.6478325578686875</v>
      </c>
      <c r="F45" s="3">
        <f>D45/B45*100</f>
        <v>80.5899426926989</v>
      </c>
      <c r="G45" s="3">
        <f aca="true" t="shared" si="4" ref="G45:G76">D45/C45*100</f>
        <v>27.557685782151342</v>
      </c>
      <c r="H45" s="47">
        <f>B45-D45</f>
        <v>782.4000000000001</v>
      </c>
      <c r="I45" s="47">
        <f aca="true" t="shared" si="5" ref="I45:I77">C45-D45</f>
        <v>8539.5</v>
      </c>
    </row>
    <row r="46" spans="1:9" ht="18">
      <c r="A46" s="23" t="s">
        <v>3</v>
      </c>
      <c r="B46" s="42">
        <v>3378.6</v>
      </c>
      <c r="C46" s="43">
        <v>10529.7</v>
      </c>
      <c r="D46" s="44">
        <f>102.7+154.9+447.3+314.1+572.1+284.8+559+325.4</f>
        <v>2760.3</v>
      </c>
      <c r="E46" s="1">
        <f>D46/D45*100</f>
        <v>84.97152531937819</v>
      </c>
      <c r="F46" s="1">
        <f aca="true" t="shared" si="6" ref="F46:F74">D46/B46*100</f>
        <v>81.69952051145447</v>
      </c>
      <c r="G46" s="1">
        <f t="shared" si="4"/>
        <v>26.214422063306646</v>
      </c>
      <c r="H46" s="44">
        <f aca="true" t="shared" si="7" ref="H46:H74">B46-D46</f>
        <v>618.2999999999997</v>
      </c>
      <c r="I46" s="44">
        <f t="shared" si="5"/>
        <v>7769.400000000001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0.012313375404032632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24.4</v>
      </c>
      <c r="C48" s="43">
        <f>73.4+0.9</f>
        <v>74.30000000000001</v>
      </c>
      <c r="D48" s="44">
        <f>5.4+5.6+7.3</f>
        <v>18.3</v>
      </c>
      <c r="E48" s="1">
        <f>D48/D45*100</f>
        <v>0.5633369247344928</v>
      </c>
      <c r="F48" s="1">
        <f t="shared" si="6"/>
        <v>75.00000000000001</v>
      </c>
      <c r="G48" s="1">
        <f t="shared" si="4"/>
        <v>24.62987886944818</v>
      </c>
      <c r="H48" s="44">
        <f t="shared" si="7"/>
        <v>6.099999999999998</v>
      </c>
      <c r="I48" s="44">
        <f t="shared" si="5"/>
        <v>56.000000000000014</v>
      </c>
    </row>
    <row r="49" spans="1:9" ht="18">
      <c r="A49" s="23" t="s">
        <v>0</v>
      </c>
      <c r="B49" s="42">
        <v>529.5</v>
      </c>
      <c r="C49" s="43">
        <v>865.1</v>
      </c>
      <c r="D49" s="44">
        <f>3.1+3.5+1+0.7+59.3+95.2+2.2+6-0.1+53.5+89.7+6.2+7.2+73.9+0.4+4</f>
        <v>405.79999999999995</v>
      </c>
      <c r="E49" s="1">
        <f>D49/D45*100</f>
        <v>12.491919347391102</v>
      </c>
      <c r="F49" s="1">
        <f t="shared" si="6"/>
        <v>76.63833805476864</v>
      </c>
      <c r="G49" s="1">
        <f t="shared" si="4"/>
        <v>46.907871922321114</v>
      </c>
      <c r="H49" s="44">
        <f t="shared" si="7"/>
        <v>123.70000000000005</v>
      </c>
      <c r="I49" s="44">
        <f t="shared" si="5"/>
        <v>459.30000000000007</v>
      </c>
    </row>
    <row r="50" spans="1:9" ht="18.75" thickBot="1">
      <c r="A50" s="23" t="s">
        <v>28</v>
      </c>
      <c r="B50" s="43">
        <f>B45-B46-B49-B48-B47</f>
        <v>97.60000000000018</v>
      </c>
      <c r="C50" s="43">
        <f>C45-C46-C49-C48-C47</f>
        <v>317.49999999999926</v>
      </c>
      <c r="D50" s="43">
        <f>D45-D46-D49-D48-D47</f>
        <v>63.69999999999987</v>
      </c>
      <c r="E50" s="1">
        <f>D50/D45*100</f>
        <v>1.9609050330921924</v>
      </c>
      <c r="F50" s="1">
        <f t="shared" si="6"/>
        <v>65.2663934426227</v>
      </c>
      <c r="G50" s="1">
        <f t="shared" si="4"/>
        <v>20.06299212598426</v>
      </c>
      <c r="H50" s="44">
        <f t="shared" si="7"/>
        <v>33.90000000000031</v>
      </c>
      <c r="I50" s="44">
        <f t="shared" si="5"/>
        <v>253.7999999999994</v>
      </c>
    </row>
    <row r="51" spans="1:9" ht="18.75" thickBot="1">
      <c r="A51" s="22" t="s">
        <v>4</v>
      </c>
      <c r="B51" s="45">
        <v>8773.9</v>
      </c>
      <c r="C51" s="46">
        <f>23558.7+50+2250</f>
        <v>25858.7</v>
      </c>
      <c r="D51" s="47">
        <f>475.9+7.8+935.8+30.7-0.1+8+35.8+34+6+454.4+67.8+74.7+41.8+81.6+68+973+34+4.9+131.2+59.3+568.8+113.2+131.2+51.5+32.5+2.5+9+29.3+48.7+24.6+895.5+47.8+195.2+85.2+498.7+48.5+15.2+20.1+884.8</f>
        <v>7226.900000000001</v>
      </c>
      <c r="E51" s="3">
        <f>D51/D151*100</f>
        <v>1.4412255233065163</v>
      </c>
      <c r="F51" s="3">
        <f>D51/B51*100</f>
        <v>82.36816011123904</v>
      </c>
      <c r="G51" s="3">
        <f t="shared" si="4"/>
        <v>27.9476539810586</v>
      </c>
      <c r="H51" s="47">
        <f>B51-D51</f>
        <v>1546.999999999999</v>
      </c>
      <c r="I51" s="47">
        <f t="shared" si="5"/>
        <v>18631.8</v>
      </c>
    </row>
    <row r="52" spans="1:9" ht="18">
      <c r="A52" s="23" t="s">
        <v>3</v>
      </c>
      <c r="B52" s="42">
        <v>4709.5</v>
      </c>
      <c r="C52" s="43">
        <v>16189.8</v>
      </c>
      <c r="D52" s="44">
        <f>392.4+738.8+389.6+752.9+403.1+730.4+397.8+724.9</f>
        <v>4529.9</v>
      </c>
      <c r="E52" s="1">
        <f>D52/D51*100</f>
        <v>62.681094245112</v>
      </c>
      <c r="F52" s="1">
        <f t="shared" si="6"/>
        <v>96.1864316806455</v>
      </c>
      <c r="G52" s="1">
        <f t="shared" si="4"/>
        <v>27.97996269255951</v>
      </c>
      <c r="H52" s="44">
        <f t="shared" si="7"/>
        <v>179.60000000000036</v>
      </c>
      <c r="I52" s="44">
        <f t="shared" si="5"/>
        <v>11659.9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278.5</v>
      </c>
      <c r="C54" s="43">
        <v>810.2</v>
      </c>
      <c r="D54" s="44">
        <f>1.9+1.9+0.5+7.4+2.1+1.2+12.9+5.1+0.1+4.5+16.8+19.2+9.7+3.1+1.1+1.4+2.5+5.7+19.9+0.8+28.2+4+19.8+8.2</f>
        <v>178</v>
      </c>
      <c r="E54" s="1">
        <f>D54/D51*100</f>
        <v>2.4630201054393996</v>
      </c>
      <c r="F54" s="1">
        <f t="shared" si="6"/>
        <v>63.91382405745063</v>
      </c>
      <c r="G54" s="1">
        <f t="shared" si="4"/>
        <v>21.969883979264377</v>
      </c>
      <c r="H54" s="44">
        <f t="shared" si="7"/>
        <v>100.5</v>
      </c>
      <c r="I54" s="44">
        <f t="shared" si="5"/>
        <v>632.2</v>
      </c>
    </row>
    <row r="55" spans="1:9" ht="18">
      <c r="A55" s="23" t="s">
        <v>0</v>
      </c>
      <c r="B55" s="42">
        <v>617.4</v>
      </c>
      <c r="C55" s="43">
        <v>1048.5</v>
      </c>
      <c r="D55" s="44">
        <f>0.5+0.6+7.5+73.9+2.1+51.2+20.8+16.3+5.9+0.4+16.8+14.9+10.4+71.4+0.3+1.2+1.4+16+1.2+0.1+25+43+3.8+1.3</f>
        <v>386.00000000000006</v>
      </c>
      <c r="E55" s="1">
        <f>D55/D51*100</f>
        <v>5.3411559589865645</v>
      </c>
      <c r="F55" s="1">
        <f t="shared" si="6"/>
        <v>62.52024619371559</v>
      </c>
      <c r="G55" s="1">
        <f t="shared" si="4"/>
        <v>36.814496900333815</v>
      </c>
      <c r="H55" s="44">
        <f t="shared" si="7"/>
        <v>231.39999999999992</v>
      </c>
      <c r="I55" s="44">
        <f t="shared" si="5"/>
        <v>662.5</v>
      </c>
    </row>
    <row r="56" spans="1:9" ht="18">
      <c r="A56" s="23" t="s">
        <v>14</v>
      </c>
      <c r="B56" s="42">
        <v>173</v>
      </c>
      <c r="C56" s="43">
        <v>518.9</v>
      </c>
      <c r="D56" s="43">
        <f>34+46+40</f>
        <v>120</v>
      </c>
      <c r="E56" s="1">
        <f>D56/D51*100</f>
        <v>1.660462992431056</v>
      </c>
      <c r="F56" s="1">
        <f>D56/B56*100</f>
        <v>69.36416184971098</v>
      </c>
      <c r="G56" s="1">
        <f>D56/C56*100</f>
        <v>23.125843129697436</v>
      </c>
      <c r="H56" s="44">
        <f t="shared" si="7"/>
        <v>53</v>
      </c>
      <c r="I56" s="44">
        <f t="shared" si="5"/>
        <v>398.9</v>
      </c>
    </row>
    <row r="57" spans="1:9" ht="18.75" thickBot="1">
      <c r="A57" s="23" t="s">
        <v>28</v>
      </c>
      <c r="B57" s="43">
        <f>B51-B52-B55-B54-B53-B56</f>
        <v>2995.4999999999995</v>
      </c>
      <c r="C57" s="43">
        <f>C51-C52-C55-C54-C53-C56</f>
        <v>7278.300000000002</v>
      </c>
      <c r="D57" s="43">
        <f>D51-D52-D55-D54-D53-D56</f>
        <v>2013.000000000001</v>
      </c>
      <c r="E57" s="1">
        <f>D57/D51*100</f>
        <v>27.854266698030976</v>
      </c>
      <c r="F57" s="1">
        <f t="shared" si="6"/>
        <v>67.20080120180273</v>
      </c>
      <c r="G57" s="1">
        <f t="shared" si="4"/>
        <v>27.657557396644826</v>
      </c>
      <c r="H57" s="44">
        <f>B57-D57</f>
        <v>982.4999999999986</v>
      </c>
      <c r="I57" s="44">
        <f>C57-D57</f>
        <v>5265.300000000001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1401.8</v>
      </c>
      <c r="C59" s="46">
        <f>7844.6+200</f>
        <v>8044.6</v>
      </c>
      <c r="D59" s="47">
        <f>55.6+0.2+146.1+0.4+60.8+0.4+59.3+73.6+0.1+18.6+1.9+67.3+0.4+57.5+0.6+144.6-4.5+32.9+1.2+79.7+73.5+4</f>
        <v>874.2000000000002</v>
      </c>
      <c r="E59" s="3">
        <f>D59/D151*100</f>
        <v>0.17433745485264174</v>
      </c>
      <c r="F59" s="3">
        <f>D59/B59*100</f>
        <v>62.36267655871024</v>
      </c>
      <c r="G59" s="3">
        <f t="shared" si="4"/>
        <v>10.866916938070261</v>
      </c>
      <c r="H59" s="47">
        <f>B59-D59</f>
        <v>527.5999999999998</v>
      </c>
      <c r="I59" s="47">
        <f t="shared" si="5"/>
        <v>7170.400000000001</v>
      </c>
    </row>
    <row r="60" spans="1:9" ht="18">
      <c r="A60" s="23" t="s">
        <v>3</v>
      </c>
      <c r="B60" s="42">
        <v>942.8</v>
      </c>
      <c r="C60" s="43">
        <v>2900.3</v>
      </c>
      <c r="D60" s="44">
        <f>55.6+146.1+60.8+59.3+73.6+0.1+67.3+144.6-4.5+79.7</f>
        <v>682.6</v>
      </c>
      <c r="E60" s="1">
        <f>D60/D59*100</f>
        <v>78.08281857698466</v>
      </c>
      <c r="F60" s="1">
        <f t="shared" si="6"/>
        <v>72.40135765803988</v>
      </c>
      <c r="G60" s="1">
        <f t="shared" si="4"/>
        <v>23.535496327966072</v>
      </c>
      <c r="H60" s="44">
        <f t="shared" si="7"/>
        <v>260.19999999999993</v>
      </c>
      <c r="I60" s="44">
        <f t="shared" si="5"/>
        <v>2217.7000000000003</v>
      </c>
    </row>
    <row r="61" spans="1:9" ht="18">
      <c r="A61" s="23" t="s">
        <v>1</v>
      </c>
      <c r="B61" s="42">
        <v>6</v>
      </c>
      <c r="C61" s="43">
        <f>337.1+6</f>
        <v>343.1</v>
      </c>
      <c r="D61" s="44"/>
      <c r="E61" s="1">
        <f>D61/D59*100</f>
        <v>0</v>
      </c>
      <c r="F61" s="103">
        <f>D61/B61*100</f>
        <v>0</v>
      </c>
      <c r="G61" s="1">
        <f t="shared" si="4"/>
        <v>0</v>
      </c>
      <c r="H61" s="44">
        <f t="shared" si="7"/>
        <v>6</v>
      </c>
      <c r="I61" s="44">
        <f t="shared" si="5"/>
        <v>343.1</v>
      </c>
    </row>
    <row r="62" spans="1:9" ht="18">
      <c r="A62" s="23" t="s">
        <v>0</v>
      </c>
      <c r="B62" s="42">
        <v>231.8</v>
      </c>
      <c r="C62" s="43">
        <v>451.8</v>
      </c>
      <c r="D62" s="44">
        <f>0.4+18.6+55.1+0.5+32.9+0.7+67.5+3.7</f>
        <v>179.39999999999998</v>
      </c>
      <c r="E62" s="1">
        <f>D62/D59*100</f>
        <v>20.52161976664378</v>
      </c>
      <c r="F62" s="1">
        <f t="shared" si="6"/>
        <v>77.39430543572044</v>
      </c>
      <c r="G62" s="1">
        <f t="shared" si="4"/>
        <v>39.707835325365195</v>
      </c>
      <c r="H62" s="44">
        <f t="shared" si="7"/>
        <v>52.400000000000034</v>
      </c>
      <c r="I62" s="44">
        <f t="shared" si="5"/>
        <v>272.40000000000003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221.2</v>
      </c>
      <c r="C64" s="43">
        <f>C59-C60-C62-C63-C61</f>
        <v>642.3000000000001</v>
      </c>
      <c r="D64" s="43">
        <f>D59-D60-D62-D63-D61</f>
        <v>12.20000000000016</v>
      </c>
      <c r="E64" s="1">
        <f>D64/D59*100</f>
        <v>1.3955616563715576</v>
      </c>
      <c r="F64" s="1">
        <f t="shared" si="6"/>
        <v>5.515370705244195</v>
      </c>
      <c r="G64" s="1">
        <f t="shared" si="4"/>
        <v>1.8994239451969732</v>
      </c>
      <c r="H64" s="44">
        <f t="shared" si="7"/>
        <v>208.99999999999983</v>
      </c>
      <c r="I64" s="44">
        <f t="shared" si="5"/>
        <v>630.0999999999999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326.8</v>
      </c>
      <c r="C69" s="46">
        <f>C70+C71</f>
        <v>487.70000000000005</v>
      </c>
      <c r="D69" s="47">
        <f>SUM(D70:D71)</f>
        <v>227.79999999999995</v>
      </c>
      <c r="E69" s="35">
        <f>D69/D151*100</f>
        <v>0.045429046231333536</v>
      </c>
      <c r="F69" s="3">
        <f>D69/B69*100</f>
        <v>69.70624235006119</v>
      </c>
      <c r="G69" s="3">
        <f t="shared" si="4"/>
        <v>46.70904244412547</v>
      </c>
      <c r="H69" s="47">
        <f>B69-D69</f>
        <v>99.00000000000006</v>
      </c>
      <c r="I69" s="47">
        <f t="shared" si="5"/>
        <v>259.9000000000001</v>
      </c>
    </row>
    <row r="70" spans="1:9" ht="18">
      <c r="A70" s="23" t="s">
        <v>8</v>
      </c>
      <c r="B70" s="42">
        <v>286.5</v>
      </c>
      <c r="C70" s="43">
        <f>289</f>
        <v>289</v>
      </c>
      <c r="D70" s="44">
        <f>19.2+1.5+170.6+1.2+17.7+0.1+11</f>
        <v>221.29999999999995</v>
      </c>
      <c r="E70" s="1">
        <f>D70/D69*100</f>
        <v>97.14661984196664</v>
      </c>
      <c r="F70" s="1">
        <f t="shared" si="6"/>
        <v>77.24258289703315</v>
      </c>
      <c r="G70" s="1">
        <f t="shared" si="4"/>
        <v>76.5743944636678</v>
      </c>
      <c r="H70" s="44">
        <f t="shared" si="7"/>
        <v>65.20000000000005</v>
      </c>
      <c r="I70" s="44">
        <f t="shared" si="5"/>
        <v>67.70000000000005</v>
      </c>
    </row>
    <row r="71" spans="1:9" ht="18.75" thickBot="1">
      <c r="A71" s="23" t="s">
        <v>9</v>
      </c>
      <c r="B71" s="42">
        <v>40.3</v>
      </c>
      <c r="C71" s="43">
        <f>267.3-68.6</f>
        <v>198.70000000000002</v>
      </c>
      <c r="D71" s="44">
        <f>6.5</f>
        <v>6.5</v>
      </c>
      <c r="E71" s="1">
        <f>D71/D70*100</f>
        <v>2.9371893357433354</v>
      </c>
      <c r="F71" s="1">
        <f t="shared" si="6"/>
        <v>16.12903225806452</v>
      </c>
      <c r="G71" s="1">
        <f t="shared" si="4"/>
        <v>3.271263210870659</v>
      </c>
      <c r="H71" s="44">
        <f t="shared" si="7"/>
        <v>33.8</v>
      </c>
      <c r="I71" s="44">
        <f t="shared" si="5"/>
        <v>192.20000000000002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3233.3</v>
      </c>
      <c r="C77" s="62">
        <f>10000-100</f>
        <v>9900</v>
      </c>
      <c r="D77" s="63"/>
      <c r="E77" s="41"/>
      <c r="F77" s="41"/>
      <c r="G77" s="41"/>
      <c r="H77" s="63">
        <f>B77-D77</f>
        <v>3233.3</v>
      </c>
      <c r="I77" s="63">
        <f t="shared" si="5"/>
        <v>9900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55151-400</f>
        <v>54751</v>
      </c>
      <c r="C90" s="46">
        <v>157960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</f>
        <v>25239.9</v>
      </c>
      <c r="E90" s="3">
        <f>D90/D151*100</f>
        <v>5.033470517885143</v>
      </c>
      <c r="F90" s="3">
        <f aca="true" t="shared" si="10" ref="F90:F96">D90/B90*100</f>
        <v>46.09943197384523</v>
      </c>
      <c r="G90" s="3">
        <f t="shared" si="8"/>
        <v>15.978665484932893</v>
      </c>
      <c r="H90" s="47">
        <f aca="true" t="shared" si="11" ref="H90:H96">B90-D90</f>
        <v>29511.1</v>
      </c>
      <c r="I90" s="47">
        <f t="shared" si="9"/>
        <v>132720.1</v>
      </c>
    </row>
    <row r="91" spans="1:9" ht="18">
      <c r="A91" s="23" t="s">
        <v>3</v>
      </c>
      <c r="B91" s="42">
        <f>50590.6+67.7-1.2-6.4-400-10.6</f>
        <v>50240.1</v>
      </c>
      <c r="C91" s="43">
        <v>148246.2</v>
      </c>
      <c r="D91" s="44">
        <f>1016.5+861.2+216.8+0.1+15.6+1633.8+1584.8+610.3+2+34.8+60.4+677.1+1434.4+388.2+14.5+46.2+0.1+225.9+1690.4+1880.4+5.7+23.4+14.2+309.4+627.8+1876.2+1.4+2.8+20.2+321.2+999.1+1596.9+1340.8+29.5+22.6+10.8+458.4+2420.6+2.5</f>
        <v>22477</v>
      </c>
      <c r="E91" s="1">
        <f>D91/D90*100</f>
        <v>89.053443159442</v>
      </c>
      <c r="F91" s="1">
        <f t="shared" si="10"/>
        <v>44.739162541475835</v>
      </c>
      <c r="G91" s="1">
        <f t="shared" si="8"/>
        <v>15.161940069964693</v>
      </c>
      <c r="H91" s="44">
        <f t="shared" si="11"/>
        <v>27763.1</v>
      </c>
      <c r="I91" s="44">
        <f t="shared" si="9"/>
        <v>125769.20000000001</v>
      </c>
    </row>
    <row r="92" spans="1:9" ht="18">
      <c r="A92" s="23" t="s">
        <v>26</v>
      </c>
      <c r="B92" s="42">
        <v>1511.5</v>
      </c>
      <c r="C92" s="43">
        <v>2620.6</v>
      </c>
      <c r="D92" s="44">
        <f>48.5+5.1+5+1.3+22.8+67.3+62.7+3.5+1.4+40.6+112.7+571.4+55.5+1.7+2.4+3.1</f>
        <v>1005</v>
      </c>
      <c r="E92" s="1">
        <f>D92/D90*100</f>
        <v>3.9817907360964186</v>
      </c>
      <c r="F92" s="1">
        <f t="shared" si="10"/>
        <v>66.49024148197155</v>
      </c>
      <c r="G92" s="1">
        <f t="shared" si="8"/>
        <v>38.349996184079984</v>
      </c>
      <c r="H92" s="44">
        <f t="shared" si="11"/>
        <v>506.5</v>
      </c>
      <c r="I92" s="44">
        <f t="shared" si="9"/>
        <v>1615.6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2999.4000000000015</v>
      </c>
      <c r="C94" s="43">
        <f>C90-C91-C92-C93</f>
        <v>7093.199999999988</v>
      </c>
      <c r="D94" s="43">
        <f>D90-D91-D92-D93</f>
        <v>1757.9000000000015</v>
      </c>
      <c r="E94" s="1">
        <f>D94/D90*100</f>
        <v>6.964766104461592</v>
      </c>
      <c r="F94" s="1">
        <f t="shared" si="10"/>
        <v>58.60838834433555</v>
      </c>
      <c r="G94" s="1">
        <f>D94/C94*100</f>
        <v>24.782890655839456</v>
      </c>
      <c r="H94" s="44">
        <f t="shared" si="11"/>
        <v>1241.5</v>
      </c>
      <c r="I94" s="44">
        <f>C94-D94</f>
        <v>5335.2999999999865</v>
      </c>
    </row>
    <row r="95" spans="1:9" ht="18.75">
      <c r="A95" s="108" t="s">
        <v>12</v>
      </c>
      <c r="B95" s="111">
        <f>23935.4</f>
        <v>23935.4</v>
      </c>
      <c r="C95" s="113">
        <v>59880.5</v>
      </c>
      <c r="D95" s="112">
        <f>158.8+434.4+321.9+32+1220.1+1621.7+82.6+1043.7+489.5+1835.3+427.5+91.3+190+524+63.3+11.3+68.3+293.9+953+327.8+2372.9+1+6.8+217.3+273.2+68.3-0.1+331.5+504+66.1+441.2+942.7+2276+81.9+57.4+38+675.8+274.5+35.7+263.7+3+29.9+269.5+461.5+44</f>
        <v>19926.2</v>
      </c>
      <c r="E95" s="107">
        <f>D95/D151*100</f>
        <v>3.9737851668779562</v>
      </c>
      <c r="F95" s="110">
        <f t="shared" si="10"/>
        <v>83.24991435279962</v>
      </c>
      <c r="G95" s="106">
        <f>D95/C95*100</f>
        <v>33.27660924674978</v>
      </c>
      <c r="H95" s="112">
        <f t="shared" si="11"/>
        <v>4009.2000000000007</v>
      </c>
      <c r="I95" s="122">
        <f>C95-D95</f>
        <v>39954.3</v>
      </c>
    </row>
    <row r="96" spans="1:9" ht="18.75" thickBot="1">
      <c r="A96" s="109" t="s">
        <v>85</v>
      </c>
      <c r="B96" s="114">
        <v>3599.7</v>
      </c>
      <c r="C96" s="115">
        <f>10660.3-133.5</f>
        <v>10526.8</v>
      </c>
      <c r="D96" s="116">
        <f>69.1+1043.7+68.3+1051.8+1+68.3+66.1+938.4+3</f>
        <v>3309.7</v>
      </c>
      <c r="E96" s="117">
        <f>D96/D95*100</f>
        <v>16.60979012556333</v>
      </c>
      <c r="F96" s="118">
        <f t="shared" si="10"/>
        <v>91.94377309220214</v>
      </c>
      <c r="G96" s="119">
        <f>D96/C96*100</f>
        <v>31.440703727628527</v>
      </c>
      <c r="H96" s="123">
        <f t="shared" si="11"/>
        <v>290</v>
      </c>
      <c r="I96" s="124">
        <f>C96-D96</f>
        <v>7217.099999999999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128">
        <f>4732.6-116+400</f>
        <v>5016.6</v>
      </c>
      <c r="C102" s="92">
        <f>12999.2-348+46.7</f>
        <v>12697.900000000001</v>
      </c>
      <c r="D102" s="79">
        <f>139.4+4+202+15.3+32.9+18.1+0.4+4+39.7+141.6+9.9+31.3+27.6+1.1+399+127.2+7.6+63.2+113+70.6+140+195.7+6.2+179.8+200.1+39.2+404.4+43.9+5.5+14.3+123.2+146.6+30.6+5+8.3+5+134.6+84.2</f>
        <v>3214.4999999999995</v>
      </c>
      <c r="E102" s="19">
        <f>D102/D151*100</f>
        <v>0.6410521032072944</v>
      </c>
      <c r="F102" s="19">
        <f>D102/B102*100</f>
        <v>64.07726348522903</v>
      </c>
      <c r="G102" s="19">
        <f aca="true" t="shared" si="12" ref="G102:G149">D102/C102*100</f>
        <v>25.315209601587657</v>
      </c>
      <c r="H102" s="79">
        <f aca="true" t="shared" si="13" ref="H102:H107">B102-D102</f>
        <v>1802.1000000000008</v>
      </c>
      <c r="I102" s="79">
        <f aca="true" t="shared" si="14" ref="I102:I149">C102-D102</f>
        <v>9483.400000000001</v>
      </c>
    </row>
    <row r="103" spans="1:9" ht="18">
      <c r="A103" s="23" t="s">
        <v>3</v>
      </c>
      <c r="B103" s="89">
        <v>70.9</v>
      </c>
      <c r="C103" s="87">
        <v>259.1</v>
      </c>
      <c r="D103" s="87">
        <f>17.3+10</f>
        <v>27.3</v>
      </c>
      <c r="E103" s="83">
        <f>D103/D102*100</f>
        <v>0.8492767148856745</v>
      </c>
      <c r="F103" s="1">
        <f>D103/B103*100</f>
        <v>38.50493653032439</v>
      </c>
      <c r="G103" s="83">
        <f>D103/C103*100</f>
        <v>10.536472404477035</v>
      </c>
      <c r="H103" s="87">
        <f t="shared" si="13"/>
        <v>43.60000000000001</v>
      </c>
      <c r="I103" s="87">
        <f t="shared" si="14"/>
        <v>231.8</v>
      </c>
    </row>
    <row r="104" spans="1:9" ht="18">
      <c r="A104" s="85" t="s">
        <v>49</v>
      </c>
      <c r="B104" s="74">
        <f>3963.7-116+390.1</f>
        <v>4237.8</v>
      </c>
      <c r="C104" s="44">
        <f>10720.8-348+46.7</f>
        <v>10419.5</v>
      </c>
      <c r="D104" s="44">
        <f>139.3+4+202+15.3-0.1+4+25.4+141.4+9.8+31.2+1.1+390.1+50+2+0.1+51.6+111.9+69.9+132+193.8+143.3+175.1+39.1+393+24.9+117+131.2+30.6+5+5+134.6</f>
        <v>2773.6</v>
      </c>
      <c r="E104" s="1">
        <f>D104/D102*100</f>
        <v>86.28402550941048</v>
      </c>
      <c r="F104" s="1">
        <f aca="true" t="shared" si="15" ref="F104:F149">D104/B104*100</f>
        <v>65.44905375430648</v>
      </c>
      <c r="G104" s="1">
        <f t="shared" si="12"/>
        <v>26.619319545083737</v>
      </c>
      <c r="H104" s="44">
        <f t="shared" si="13"/>
        <v>1464.2000000000003</v>
      </c>
      <c r="I104" s="44">
        <f t="shared" si="14"/>
        <v>7645.9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707.9000000000005</v>
      </c>
      <c r="C106" s="88">
        <f>C102-C103-C104</f>
        <v>2019.300000000001</v>
      </c>
      <c r="D106" s="88">
        <f>D102-D103-D104</f>
        <v>413.59999999999945</v>
      </c>
      <c r="E106" s="84">
        <f>D106/D102*100</f>
        <v>12.866697775703829</v>
      </c>
      <c r="F106" s="84">
        <f t="shared" si="15"/>
        <v>58.426331402740374</v>
      </c>
      <c r="G106" s="84">
        <f t="shared" si="12"/>
        <v>20.48234536720642</v>
      </c>
      <c r="H106" s="124">
        <f>B106-D106</f>
        <v>294.3000000000011</v>
      </c>
      <c r="I106" s="124">
        <f t="shared" si="14"/>
        <v>1605.7000000000016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121005.79999999999</v>
      </c>
      <c r="C107" s="81">
        <f>SUM(C108:C148)-C115-C119+C149-C140-C141-C109-C112-C122-C123-C138-C131-C129-C136</f>
        <v>552976.9999999999</v>
      </c>
      <c r="D107" s="81">
        <f>SUM(D108:D148)-D115-D119+D149-D140-D141-D109-D112-D122-D123-D138-D131-D129-D136</f>
        <v>108467.20000000001</v>
      </c>
      <c r="E107" s="82">
        <f>D107/D151*100</f>
        <v>21.631086230831002</v>
      </c>
      <c r="F107" s="82">
        <f>D107/B107*100</f>
        <v>89.63801735123442</v>
      </c>
      <c r="G107" s="82">
        <f t="shared" si="12"/>
        <v>19.61513770012135</v>
      </c>
      <c r="H107" s="81">
        <f t="shared" si="13"/>
        <v>12538.599999999977</v>
      </c>
      <c r="I107" s="81">
        <f t="shared" si="14"/>
        <v>444509.7999999999</v>
      </c>
    </row>
    <row r="108" spans="1:9" ht="37.5">
      <c r="A108" s="28" t="s">
        <v>53</v>
      </c>
      <c r="B108" s="71">
        <v>1836.9</v>
      </c>
      <c r="C108" s="67">
        <v>4095.6</v>
      </c>
      <c r="D108" s="72">
        <f>12.6+3.2+110.8+149.9+0.1+86+66+19.9+30.9+1.3+4.4+3.9+8.5+1.6+0.1+167.2+12.2+0.7+2+1.4+0.1</f>
        <v>682.8000000000001</v>
      </c>
      <c r="E108" s="6">
        <f>D108/D107*100</f>
        <v>0.6294990559358036</v>
      </c>
      <c r="F108" s="6">
        <f t="shared" si="15"/>
        <v>37.17132124775437</v>
      </c>
      <c r="G108" s="6">
        <f t="shared" si="12"/>
        <v>16.671549956050395</v>
      </c>
      <c r="H108" s="61">
        <f aca="true" t="shared" si="16" ref="H108:H149">B108-D108</f>
        <v>1154.1</v>
      </c>
      <c r="I108" s="61">
        <f t="shared" si="14"/>
        <v>3412.7999999999997</v>
      </c>
    </row>
    <row r="109" spans="1:9" ht="18">
      <c r="A109" s="23" t="s">
        <v>26</v>
      </c>
      <c r="B109" s="74">
        <v>1293.4</v>
      </c>
      <c r="C109" s="44">
        <v>2633.8</v>
      </c>
      <c r="D109" s="75">
        <f>68.3+138.7+47.8+60.9+18.1+30+81.4</f>
        <v>445.20000000000005</v>
      </c>
      <c r="E109" s="1">
        <f>D109/D108*100</f>
        <v>65.20210896309314</v>
      </c>
      <c r="F109" s="1">
        <f t="shared" si="15"/>
        <v>34.420906138858825</v>
      </c>
      <c r="G109" s="1">
        <f t="shared" si="12"/>
        <v>16.903333586453034</v>
      </c>
      <c r="H109" s="44">
        <f t="shared" si="16"/>
        <v>848.2</v>
      </c>
      <c r="I109" s="44">
        <f t="shared" si="14"/>
        <v>2188.6000000000004</v>
      </c>
    </row>
    <row r="110" spans="1:9" ht="34.5" customHeight="1">
      <c r="A110" s="16" t="s">
        <v>80</v>
      </c>
      <c r="B110" s="73">
        <v>447.7</v>
      </c>
      <c r="C110" s="61">
        <v>1175.4</v>
      </c>
      <c r="D110" s="72">
        <f>11.8+87.5</f>
        <v>99.3</v>
      </c>
      <c r="E110" s="6">
        <f>D110/D107*100</f>
        <v>0.09154841279206985</v>
      </c>
      <c r="F110" s="6">
        <f>D110/B110*100</f>
        <v>22.18003127094036</v>
      </c>
      <c r="G110" s="6">
        <f t="shared" si="12"/>
        <v>8.448187850944358</v>
      </c>
      <c r="H110" s="61">
        <f t="shared" si="16"/>
        <v>348.4</v>
      </c>
      <c r="I110" s="61">
        <f t="shared" si="14"/>
        <v>1076.1000000000001</v>
      </c>
    </row>
    <row r="111" spans="1:9" s="37" customFormat="1" ht="34.5" customHeight="1">
      <c r="A111" s="16" t="s">
        <v>100</v>
      </c>
      <c r="B111" s="73">
        <v>146.7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146.7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33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33</v>
      </c>
      <c r="I113" s="61">
        <f t="shared" si="14"/>
        <v>60</v>
      </c>
    </row>
    <row r="114" spans="1:9" ht="37.5">
      <c r="A114" s="16" t="s">
        <v>39</v>
      </c>
      <c r="B114" s="73">
        <v>1112.1</v>
      </c>
      <c r="C114" s="61">
        <v>2915.4</v>
      </c>
      <c r="D114" s="72">
        <f>136.4+40+10+2+0.1+10.6+142+54.3+10.6+6.6+21.9+41.3+8.2+239.5+0.2+6.2+0.7+26.9+145.7</f>
        <v>903.2</v>
      </c>
      <c r="E114" s="6">
        <f>D114/D107*100</f>
        <v>0.8326941232003776</v>
      </c>
      <c r="F114" s="6">
        <f t="shared" si="15"/>
        <v>81.21571801097025</v>
      </c>
      <c r="G114" s="6">
        <f t="shared" si="12"/>
        <v>30.9803114495438</v>
      </c>
      <c r="H114" s="61">
        <f t="shared" si="16"/>
        <v>208.89999999999986</v>
      </c>
      <c r="I114" s="61">
        <f t="shared" si="14"/>
        <v>2012.2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180.8</v>
      </c>
      <c r="C118" s="53">
        <v>422.8</v>
      </c>
      <c r="D118" s="72">
        <f>39+5+6.2+39.1+4.9+0.4+0.8+39+0.1+5.5+0.9+39</f>
        <v>179.90000000000003</v>
      </c>
      <c r="E118" s="6">
        <f>D118/D107*100</f>
        <v>0.16585659074817088</v>
      </c>
      <c r="F118" s="6">
        <f t="shared" si="15"/>
        <v>99.50221238938055</v>
      </c>
      <c r="G118" s="6">
        <f t="shared" si="12"/>
        <v>42.54966887417219</v>
      </c>
      <c r="H118" s="61">
        <f t="shared" si="16"/>
        <v>0.8999999999999773</v>
      </c>
      <c r="I118" s="61">
        <f t="shared" si="14"/>
        <v>242.89999999999998</v>
      </c>
    </row>
    <row r="119" spans="1:9" s="32" customFormat="1" ht="18">
      <c r="A119" s="33" t="s">
        <v>44</v>
      </c>
      <c r="B119" s="74">
        <v>156.2</v>
      </c>
      <c r="C119" s="44">
        <v>351.4</v>
      </c>
      <c r="D119" s="75">
        <f>39+39.1+39+39</f>
        <v>156.1</v>
      </c>
      <c r="E119" s="1">
        <f>D119/D118*100</f>
        <v>86.77042801556418</v>
      </c>
      <c r="F119" s="1">
        <f t="shared" si="15"/>
        <v>99.93597951344431</v>
      </c>
      <c r="G119" s="1">
        <f t="shared" si="12"/>
        <v>44.42231075697211</v>
      </c>
      <c r="H119" s="44">
        <f t="shared" si="16"/>
        <v>0.09999999999999432</v>
      </c>
      <c r="I119" s="44">
        <f t="shared" si="14"/>
        <v>195.29999999999998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101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102</v>
      </c>
      <c r="B124" s="73">
        <v>14692.1</v>
      </c>
      <c r="C124" s="53">
        <f>33585.8+9933.2</f>
        <v>43519</v>
      </c>
      <c r="D124" s="76">
        <f>3483.8+2635.6+1853.3+812.9+1333.3+1694.1+1722.4</f>
        <v>13535.4</v>
      </c>
      <c r="E124" s="17">
        <f>D124/D107*100</f>
        <v>12.478795433089449</v>
      </c>
      <c r="F124" s="6">
        <f t="shared" si="15"/>
        <v>92.12706148202095</v>
      </c>
      <c r="G124" s="6">
        <f t="shared" si="12"/>
        <v>31.102277166295178</v>
      </c>
      <c r="H124" s="61">
        <f t="shared" si="16"/>
        <v>1156.7000000000007</v>
      </c>
      <c r="I124" s="61">
        <f t="shared" si="14"/>
        <v>29983.6</v>
      </c>
    </row>
    <row r="125" spans="1:9" s="2" customFormat="1" ht="18.75">
      <c r="A125" s="16" t="s">
        <v>97</v>
      </c>
      <c r="B125" s="73">
        <v>110</v>
      </c>
      <c r="C125" s="53">
        <f>585+110</f>
        <v>695</v>
      </c>
      <c r="D125" s="76">
        <f>10</f>
        <v>10</v>
      </c>
      <c r="E125" s="17">
        <f>D125/D107*100</f>
        <v>0.009219376917630398</v>
      </c>
      <c r="F125" s="6">
        <f t="shared" si="15"/>
        <v>9.090909090909092</v>
      </c>
      <c r="G125" s="6">
        <f t="shared" si="12"/>
        <v>1.4388489208633095</v>
      </c>
      <c r="H125" s="61">
        <f t="shared" si="16"/>
        <v>100</v>
      </c>
      <c r="I125" s="61">
        <f t="shared" si="14"/>
        <v>685</v>
      </c>
    </row>
    <row r="126" spans="1:9" s="2" customFormat="1" ht="37.5" hidden="1">
      <c r="A126" s="16" t="s">
        <v>96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563.7</v>
      </c>
      <c r="C128" s="53">
        <v>1253.3</v>
      </c>
      <c r="D128" s="76">
        <f>6.5+6.7+0.9+10.2+6.4+2.4+29+2.5+26.7+1.1+7.5+20.9+3.3+0.1+0.1+0.6</f>
        <v>124.89999999999996</v>
      </c>
      <c r="E128" s="17">
        <f>D128/D107*100</f>
        <v>0.11515001770120363</v>
      </c>
      <c r="F128" s="6">
        <f t="shared" si="15"/>
        <v>22.157175802731942</v>
      </c>
      <c r="G128" s="6">
        <f t="shared" si="12"/>
        <v>9.965690576877043</v>
      </c>
      <c r="H128" s="61">
        <f t="shared" si="16"/>
        <v>438.80000000000007</v>
      </c>
      <c r="I128" s="61">
        <f t="shared" si="14"/>
        <v>1128.4</v>
      </c>
    </row>
    <row r="129" spans="1:9" s="32" customFormat="1" ht="18">
      <c r="A129" s="23" t="s">
        <v>90</v>
      </c>
      <c r="B129" s="74">
        <v>115.6</v>
      </c>
      <c r="C129" s="44">
        <v>459.6</v>
      </c>
      <c r="D129" s="75">
        <f>6.4+6.4+6.4</f>
        <v>19.200000000000003</v>
      </c>
      <c r="E129" s="1">
        <f>D129/D128*100</f>
        <v>15.372297838270624</v>
      </c>
      <c r="F129" s="1">
        <f>D129/B129*100</f>
        <v>16.60899653979239</v>
      </c>
      <c r="G129" s="1">
        <f t="shared" si="12"/>
        <v>4.177545691906006</v>
      </c>
      <c r="H129" s="44">
        <f t="shared" si="16"/>
        <v>96.39999999999999</v>
      </c>
      <c r="I129" s="44">
        <f t="shared" si="14"/>
        <v>440.40000000000003</v>
      </c>
    </row>
    <row r="130" spans="1:9" s="2" customFormat="1" ht="37.5" hidden="1">
      <c r="A130" s="16" t="s">
        <v>98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36.1</v>
      </c>
      <c r="C134" s="53">
        <v>108.1</v>
      </c>
      <c r="D134" s="76">
        <f>3.8+10.3+1.3</f>
        <v>15.400000000000002</v>
      </c>
      <c r="E134" s="17">
        <f>D134/D107*100</f>
        <v>0.014197840453150815</v>
      </c>
      <c r="F134" s="6">
        <f t="shared" si="15"/>
        <v>42.659279778393355</v>
      </c>
      <c r="G134" s="6">
        <f t="shared" si="12"/>
        <v>14.246068455134136</v>
      </c>
      <c r="H134" s="61">
        <f t="shared" si="16"/>
        <v>20.7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126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126</v>
      </c>
      <c r="I135" s="61">
        <f t="shared" si="14"/>
        <v>626.8</v>
      </c>
    </row>
    <row r="136" spans="1:9" s="32" customFormat="1" ht="18">
      <c r="A136" s="23" t="s">
        <v>90</v>
      </c>
      <c r="B136" s="74">
        <v>50</v>
      </c>
      <c r="C136" s="44">
        <v>400</v>
      </c>
      <c r="D136" s="75"/>
      <c r="E136" s="1"/>
      <c r="F136" s="125">
        <f>D136/B136*100</f>
        <v>0</v>
      </c>
      <c r="G136" s="1">
        <f>D136/C136*100</f>
        <v>0</v>
      </c>
      <c r="H136" s="44">
        <f>B136-D136</f>
        <v>50</v>
      </c>
      <c r="I136" s="44">
        <f>C136-D136</f>
        <v>400</v>
      </c>
    </row>
    <row r="137" spans="1:9" s="2" customFormat="1" ht="37.5">
      <c r="A137" s="16" t="s">
        <v>86</v>
      </c>
      <c r="B137" s="73">
        <v>183.4</v>
      </c>
      <c r="C137" s="53">
        <v>381.2</v>
      </c>
      <c r="D137" s="76">
        <f>0.5+1.3+15.9+33.5+3+0.6+15.2+1.3+36.5+1.9+0.3+0.3+0.6</f>
        <v>110.89999999999999</v>
      </c>
      <c r="E137" s="17">
        <f>D137/D107*100</f>
        <v>0.10224289001652109</v>
      </c>
      <c r="F137" s="6">
        <f t="shared" si="15"/>
        <v>60.468920392584515</v>
      </c>
      <c r="G137" s="6">
        <f>D137/C137*100</f>
        <v>29.092339979013637</v>
      </c>
      <c r="H137" s="61">
        <f t="shared" si="16"/>
        <v>72.50000000000001</v>
      </c>
      <c r="I137" s="61">
        <f t="shared" si="14"/>
        <v>270.3</v>
      </c>
    </row>
    <row r="138" spans="1:9" s="32" customFormat="1" ht="18">
      <c r="A138" s="23" t="s">
        <v>26</v>
      </c>
      <c r="B138" s="74">
        <v>151.6</v>
      </c>
      <c r="C138" s="44">
        <v>306.1</v>
      </c>
      <c r="D138" s="75">
        <f>15.9+33.5+15.2+36.5+0.3</f>
        <v>101.39999999999999</v>
      </c>
      <c r="E138" s="1">
        <f>D138/D137*100</f>
        <v>91.43372407574391</v>
      </c>
      <c r="F138" s="1">
        <f t="shared" si="15"/>
        <v>66.88654353562005</v>
      </c>
      <c r="G138" s="1">
        <f>D138/C138*100</f>
        <v>33.1264292714799</v>
      </c>
      <c r="H138" s="44">
        <f t="shared" si="16"/>
        <v>50.2</v>
      </c>
      <c r="I138" s="44">
        <f t="shared" si="14"/>
        <v>204.70000000000005</v>
      </c>
    </row>
    <row r="139" spans="1:9" s="2" customFormat="1" ht="18.75">
      <c r="A139" s="16" t="s">
        <v>103</v>
      </c>
      <c r="B139" s="73">
        <v>475.8</v>
      </c>
      <c r="C139" s="53">
        <v>1397.4</v>
      </c>
      <c r="D139" s="76">
        <f>26+59.9+0.4-0.1+0.1+27.3+5.8+57.7+6.3+46.3+13.6+50.5+6-0.1+43.3+3.1+0.2+52.2</f>
        <v>398.50000000000006</v>
      </c>
      <c r="E139" s="17">
        <f>D139/D107*100</f>
        <v>0.3673921701675714</v>
      </c>
      <c r="F139" s="6">
        <f t="shared" si="15"/>
        <v>83.75367801597311</v>
      </c>
      <c r="G139" s="6">
        <f t="shared" si="12"/>
        <v>28.517246314584234</v>
      </c>
      <c r="H139" s="61">
        <f t="shared" si="16"/>
        <v>77.29999999999995</v>
      </c>
      <c r="I139" s="61">
        <f t="shared" si="14"/>
        <v>998.9000000000001</v>
      </c>
    </row>
    <row r="140" spans="1:9" s="32" customFormat="1" ht="18">
      <c r="A140" s="33" t="s">
        <v>44</v>
      </c>
      <c r="B140" s="74">
        <v>347.9</v>
      </c>
      <c r="C140" s="44">
        <v>1063.5</v>
      </c>
      <c r="D140" s="75">
        <f>26+59.9+27.3+57.1-0.1+46.3+42.7-0.1+36.4+51.8</f>
        <v>347.29999999999995</v>
      </c>
      <c r="E140" s="1">
        <f>D140/D139*100</f>
        <v>87.1518193224592</v>
      </c>
      <c r="F140" s="1">
        <f aca="true" t="shared" si="17" ref="F140:F148">D140/B140*100</f>
        <v>99.8275366484622</v>
      </c>
      <c r="G140" s="1">
        <f t="shared" si="12"/>
        <v>32.65632346027268</v>
      </c>
      <c r="H140" s="44">
        <f t="shared" si="16"/>
        <v>0.6000000000000227</v>
      </c>
      <c r="I140" s="44">
        <f t="shared" si="14"/>
        <v>716.2</v>
      </c>
    </row>
    <row r="141" spans="1:9" s="32" customFormat="1" ht="18">
      <c r="A141" s="23" t="s">
        <v>26</v>
      </c>
      <c r="B141" s="74">
        <v>23.7</v>
      </c>
      <c r="C141" s="44">
        <v>37.5</v>
      </c>
      <c r="D141" s="75">
        <f>0.4+5.6+0.6+6+0.1+3.7+0.1</f>
        <v>16.5</v>
      </c>
      <c r="E141" s="1">
        <f>D141/D139*100</f>
        <v>4.140526976160602</v>
      </c>
      <c r="F141" s="1">
        <f t="shared" si="17"/>
        <v>69.62025316455697</v>
      </c>
      <c r="G141" s="1">
        <f>D141/C141*100</f>
        <v>44</v>
      </c>
      <c r="H141" s="44">
        <f t="shared" si="16"/>
        <v>7.199999999999999</v>
      </c>
      <c r="I141" s="44">
        <f t="shared" si="14"/>
        <v>21</v>
      </c>
    </row>
    <row r="142" spans="1:9" s="2" customFormat="1" ht="56.25">
      <c r="A142" s="18" t="s">
        <v>107</v>
      </c>
      <c r="B142" s="73">
        <v>300</v>
      </c>
      <c r="C142" s="53">
        <f>200+300</f>
        <v>500</v>
      </c>
      <c r="D142" s="76">
        <f>300</f>
        <v>300</v>
      </c>
      <c r="E142" s="17">
        <f>D142/D107*100</f>
        <v>0.2765813075289119</v>
      </c>
      <c r="F142" s="99">
        <f t="shared" si="17"/>
        <v>100</v>
      </c>
      <c r="G142" s="6">
        <f t="shared" si="12"/>
        <v>60</v>
      </c>
      <c r="H142" s="61">
        <f t="shared" si="16"/>
        <v>0</v>
      </c>
      <c r="I142" s="61">
        <f t="shared" si="14"/>
        <v>200</v>
      </c>
    </row>
    <row r="143" spans="1:9" s="2" customFormat="1" ht="18.75" hidden="1">
      <c r="A143" s="18" t="s">
        <v>99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104</v>
      </c>
      <c r="B144" s="73">
        <f>22749.4-2821-205-300-2124.4</f>
        <v>17299</v>
      </c>
      <c r="C144" s="53">
        <f>67967+150-2500</f>
        <v>65617</v>
      </c>
      <c r="D144" s="76">
        <f>2189.1+2579.7+68.9+525.7+232.8+205.1+14+182+44.6+100.3+189.9+11.2+127+188.8+69.4+131.7+84.3+48.1+145.2+164.4+282.5+2057+0.1+4.7+884.5+257+126.5+89.5+69.2+64+1270.4+177.7+6.2</f>
        <v>12591.500000000002</v>
      </c>
      <c r="E144" s="17">
        <f>D144/D107*100</f>
        <v>11.608578445834317</v>
      </c>
      <c r="F144" s="99">
        <f t="shared" si="17"/>
        <v>72.78744436094573</v>
      </c>
      <c r="G144" s="6">
        <f t="shared" si="12"/>
        <v>19.189386896688358</v>
      </c>
      <c r="H144" s="61">
        <f t="shared" si="16"/>
        <v>4707.499999999998</v>
      </c>
      <c r="I144" s="61">
        <f t="shared" si="14"/>
        <v>53025.5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105</v>
      </c>
      <c r="B146" s="73">
        <v>64.1</v>
      </c>
      <c r="C146" s="53">
        <v>234</v>
      </c>
      <c r="D146" s="76">
        <f>19.2</f>
        <v>19.2</v>
      </c>
      <c r="E146" s="17">
        <f>D146/D107*100</f>
        <v>0.017701203681850363</v>
      </c>
      <c r="F146" s="99">
        <f t="shared" si="17"/>
        <v>29.95319812792512</v>
      </c>
      <c r="G146" s="6">
        <f t="shared" si="12"/>
        <v>8.205128205128204</v>
      </c>
      <c r="H146" s="61">
        <f t="shared" si="16"/>
        <v>44.89999999999999</v>
      </c>
      <c r="I146" s="61">
        <f t="shared" si="14"/>
        <v>214.8</v>
      </c>
    </row>
    <row r="147" spans="1:12" s="2" customFormat="1" ht="18.75" customHeight="1">
      <c r="A147" s="16" t="s">
        <v>79</v>
      </c>
      <c r="B147" s="73">
        <v>3951.2</v>
      </c>
      <c r="C147" s="53">
        <v>10550.8</v>
      </c>
      <c r="D147" s="76">
        <f>1601.8+39.7+92.5+565.2+121.3+853.6</f>
        <v>3274.1</v>
      </c>
      <c r="E147" s="17">
        <f>D147/D107*100</f>
        <v>3.0185161966013685</v>
      </c>
      <c r="F147" s="99">
        <f t="shared" si="17"/>
        <v>82.86343389350071</v>
      </c>
      <c r="G147" s="6">
        <f t="shared" si="12"/>
        <v>31.031770102741024</v>
      </c>
      <c r="H147" s="61">
        <f t="shared" si="16"/>
        <v>677.0999999999999</v>
      </c>
      <c r="I147" s="61">
        <f t="shared" si="14"/>
        <v>7276.699999999999</v>
      </c>
      <c r="K147" s="38"/>
      <c r="L147" s="38"/>
    </row>
    <row r="148" spans="1:12" s="2" customFormat="1" ht="19.5" customHeight="1">
      <c r="A148" s="16" t="s">
        <v>51</v>
      </c>
      <c r="B148" s="73">
        <f>64186.8+2821+205+2124.4</f>
        <v>69337.2</v>
      </c>
      <c r="C148" s="53">
        <f>376354.8-1000+14285.9-198-200-300</f>
        <v>388942.7</v>
      </c>
      <c r="D148" s="76">
        <f>4905.7+9487.9+9000+1500+6413+155.4+2591.5+899.7+3383.3+1969.5+5413.3+1388+616.4+1163.1+2765.5+2546.4+2561.8+1792+0.1+736.5+23.5+4.6+1885.9+2153.2+3856.5</f>
        <v>67212.8</v>
      </c>
      <c r="E148" s="17">
        <f>D148/D107*100</f>
        <v>61.96601368893084</v>
      </c>
      <c r="F148" s="6">
        <f t="shared" si="17"/>
        <v>96.93613240800033</v>
      </c>
      <c r="G148" s="6">
        <f t="shared" si="12"/>
        <v>17.28090024571743</v>
      </c>
      <c r="H148" s="61">
        <f t="shared" si="16"/>
        <v>2124.399999999994</v>
      </c>
      <c r="I148" s="61">
        <f t="shared" si="14"/>
        <v>321729.9</v>
      </c>
      <c r="K148" s="91"/>
      <c r="L148" s="38"/>
    </row>
    <row r="149" spans="1:12" s="2" customFormat="1" ht="18.75">
      <c r="A149" s="16" t="s">
        <v>106</v>
      </c>
      <c r="B149" s="73">
        <v>9828.4</v>
      </c>
      <c r="C149" s="53">
        <v>29485.2</v>
      </c>
      <c r="D149" s="76">
        <f>819+819+819.1+819+819+819.1+819+819+819.1+819+819</f>
        <v>9009.3</v>
      </c>
      <c r="E149" s="17">
        <f>D149/D107*100</f>
        <v>8.306013246400754</v>
      </c>
      <c r="F149" s="6">
        <f t="shared" si="15"/>
        <v>91.66598836026209</v>
      </c>
      <c r="G149" s="6">
        <f t="shared" si="12"/>
        <v>30.555329453420697</v>
      </c>
      <c r="H149" s="61">
        <f t="shared" si="16"/>
        <v>819.1000000000004</v>
      </c>
      <c r="I149" s="61">
        <f t="shared" si="14"/>
        <v>20475.9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130303.9</v>
      </c>
      <c r="C150" s="77">
        <f>C43+C69+C72+C77+C79+C87+C102+C107+C100+C84+C98</f>
        <v>577639.6999999998</v>
      </c>
      <c r="D150" s="53">
        <f>D43+D69+D72+D77+D79+D87+D102+D107+D100+D84+D98</f>
        <v>112538.00000000001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603675.7000000001</v>
      </c>
      <c r="C151" s="47">
        <f>C6+C18+C33+C43+C51+C59+C69+C72+C77+C79+C87+C90+C95+C102+C107+C100+C84+C98+C45</f>
        <v>1879696.1999999997</v>
      </c>
      <c r="D151" s="47">
        <f>D6+D18+D33+D43+D51+D59+D69+D72+D77+D79+D87+D90+D95+D102+D107+D100+D84+D98+D45</f>
        <v>501441.30000000016</v>
      </c>
      <c r="E151" s="31">
        <v>100</v>
      </c>
      <c r="F151" s="3">
        <f>D151/B151*100</f>
        <v>83.06468191447827</v>
      </c>
      <c r="G151" s="3">
        <f aca="true" t="shared" si="18" ref="G151:G157">D151/C151*100</f>
        <v>26.676720418969847</v>
      </c>
      <c r="H151" s="47">
        <f aca="true" t="shared" si="19" ref="H151:H157">B151-D151</f>
        <v>102234.3999999999</v>
      </c>
      <c r="I151" s="47">
        <f aca="true" t="shared" si="20" ref="I151:I157">C151-D151</f>
        <v>1378254.8999999994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229372.1</v>
      </c>
      <c r="C152" s="60">
        <f>C8+C20+C34+C52+C60+C91+C115+C119+C46+C140+C131+C103</f>
        <v>722894.7</v>
      </c>
      <c r="D152" s="60">
        <f>D8+D20+D34+D52+D60+D91+D115+D119+D46+D140+D131+D103</f>
        <v>183769.8</v>
      </c>
      <c r="E152" s="6">
        <f>D152/D151*100</f>
        <v>36.6483175598021</v>
      </c>
      <c r="F152" s="6">
        <f aca="true" t="shared" si="21" ref="F152:F157">D152/B152*100</f>
        <v>80.11863692227607</v>
      </c>
      <c r="G152" s="6">
        <f t="shared" si="18"/>
        <v>25.42137879832291</v>
      </c>
      <c r="H152" s="61">
        <f t="shared" si="19"/>
        <v>45602.30000000002</v>
      </c>
      <c r="I152" s="72">
        <f t="shared" si="20"/>
        <v>539124.8999999999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53897.600000000006</v>
      </c>
      <c r="C153" s="61">
        <f>C11+C23+C36+C55+C62+C92+C49+C141+C109+C112+C96+C138</f>
        <v>102336.00000000003</v>
      </c>
      <c r="D153" s="61">
        <f>D11+D23+D36+D55+D62+D92+D49+D141+D109+D112+D96+D138</f>
        <v>44436.90000000001</v>
      </c>
      <c r="E153" s="6">
        <f>D153/D151*100</f>
        <v>8.86183487478993</v>
      </c>
      <c r="F153" s="6">
        <f t="shared" si="21"/>
        <v>82.4468993053494</v>
      </c>
      <c r="G153" s="6">
        <f t="shared" si="18"/>
        <v>43.42254924953095</v>
      </c>
      <c r="H153" s="61">
        <f t="shared" si="19"/>
        <v>9460.699999999997</v>
      </c>
      <c r="I153" s="72">
        <f t="shared" si="20"/>
        <v>57899.10000000002</v>
      </c>
      <c r="K153" s="39"/>
      <c r="L153" s="90"/>
    </row>
    <row r="154" spans="1:12" ht="18.75">
      <c r="A154" s="18" t="s">
        <v>1</v>
      </c>
      <c r="B154" s="60">
        <f>B22+B10+B54+B48+B61+B35+B123</f>
        <v>11729.5</v>
      </c>
      <c r="C154" s="60">
        <f>C22+C10+C54+C48+C61+C35+C123</f>
        <v>28689.1</v>
      </c>
      <c r="D154" s="60">
        <f>D22+D10+D54+D48+D61+D35+D123</f>
        <v>10049.5</v>
      </c>
      <c r="E154" s="6">
        <f>D154/D151*100</f>
        <v>2.0041229152844005</v>
      </c>
      <c r="F154" s="6">
        <f t="shared" si="21"/>
        <v>85.67713883797263</v>
      </c>
      <c r="G154" s="6">
        <f t="shared" si="18"/>
        <v>35.02898313296688</v>
      </c>
      <c r="H154" s="61">
        <f t="shared" si="19"/>
        <v>1680</v>
      </c>
      <c r="I154" s="72">
        <f t="shared" si="20"/>
        <v>18639.6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9351.8</v>
      </c>
      <c r="C155" s="60">
        <f>C12+C24+C104+C63+C38+C93+C129+C56+C136</f>
        <v>29631.3</v>
      </c>
      <c r="D155" s="60">
        <f>D12+D24+D104+D63+D38+D93+D129+D56</f>
        <v>7203.599999999999</v>
      </c>
      <c r="E155" s="6">
        <f>D155/D151*100</f>
        <v>1.4365789176120909</v>
      </c>
      <c r="F155" s="6">
        <f t="shared" si="21"/>
        <v>77.02902115100837</v>
      </c>
      <c r="G155" s="6">
        <f t="shared" si="18"/>
        <v>24.310779479806826</v>
      </c>
      <c r="H155" s="61">
        <f>B155-D155</f>
        <v>2148.2</v>
      </c>
      <c r="I155" s="72">
        <f t="shared" si="20"/>
        <v>22427.7</v>
      </c>
      <c r="K155" s="39"/>
      <c r="L155" s="90"/>
    </row>
    <row r="156" spans="1:12" ht="18.75">
      <c r="A156" s="18" t="s">
        <v>2</v>
      </c>
      <c r="B156" s="60">
        <f>B9+B21+B47+B53+B122</f>
        <v>38.699999999999996</v>
      </c>
      <c r="C156" s="60">
        <f>C9+C21+C47+C53+C122</f>
        <v>186.9</v>
      </c>
      <c r="D156" s="60">
        <f>D9+D21+D47+D53+D122</f>
        <v>20.8</v>
      </c>
      <c r="E156" s="6">
        <f>D156/D151*100</f>
        <v>0.004148042851675758</v>
      </c>
      <c r="F156" s="6">
        <f t="shared" si="21"/>
        <v>53.746770025839794</v>
      </c>
      <c r="G156" s="6">
        <f t="shared" si="18"/>
        <v>11.128945960406634</v>
      </c>
      <c r="H156" s="61">
        <f t="shared" si="19"/>
        <v>17.899999999999995</v>
      </c>
      <c r="I156" s="72">
        <f t="shared" si="20"/>
        <v>166.1</v>
      </c>
      <c r="K156" s="39"/>
      <c r="L156" s="40"/>
    </row>
    <row r="157" spans="1:12" ht="19.5" thickBot="1">
      <c r="A157" s="126" t="s">
        <v>28</v>
      </c>
      <c r="B157" s="78">
        <f>B151-B152-B153-B154-B155-B156</f>
        <v>299286.0000000001</v>
      </c>
      <c r="C157" s="78">
        <f>C151-C152-C153-C154-C155-C156</f>
        <v>995958.1999999997</v>
      </c>
      <c r="D157" s="78">
        <f>D151-D152-D153-D154-D155-D156</f>
        <v>255960.70000000016</v>
      </c>
      <c r="E157" s="36">
        <f>D157/D151*100</f>
        <v>51.0449976896598</v>
      </c>
      <c r="F157" s="36">
        <f t="shared" si="21"/>
        <v>85.52377992956572</v>
      </c>
      <c r="G157" s="36">
        <f t="shared" si="18"/>
        <v>25.69994403379582</v>
      </c>
      <c r="H157" s="127">
        <f t="shared" si="19"/>
        <v>43325.29999999996</v>
      </c>
      <c r="I157" s="127">
        <f t="shared" si="20"/>
        <v>739997.4999999995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1879696.1999999997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501441.30000000016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1879696.1999999997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501441.30000000016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2017-04-03T07:18:08Z</cp:lastPrinted>
  <dcterms:created xsi:type="dcterms:W3CDTF">2000-06-20T04:48:00Z</dcterms:created>
  <dcterms:modified xsi:type="dcterms:W3CDTF">2017-04-26T05:09:06Z</dcterms:modified>
  <cp:category/>
  <cp:version/>
  <cp:contentType/>
  <cp:contentStatus/>
</cp:coreProperties>
</file>